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chartsheets/sheet1.xml" ContentType="application/vnd.openxmlformats-officedocument.spreadsheetml.chart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75" windowWidth="15180" windowHeight="9345" activeTab="0"/>
  </bookViews>
  <sheets>
    <sheet name="Fuel Pump HP Calculations" sheetId="1" r:id="rId1"/>
    <sheet name="Fuel Pump Flow Chart" sheetId="2" r:id="rId2"/>
    <sheet name="Fuel Pump Data" sheetId="3" r:id="rId3"/>
    <sheet name="Data Control" sheetId="4" r:id="rId4"/>
    <sheet name="Sources" sheetId="5" r:id="rId5"/>
  </sheets>
  <definedNames>
    <definedName name="AFC1">'Data Control'!$F$3</definedName>
    <definedName name="AFC2">'Data Control'!$F$4</definedName>
    <definedName name="AFC3">'Data Control'!$F$5</definedName>
    <definedName name="AFNumbers">'Data Control'!$E$3:$E$9</definedName>
    <definedName name="AFRatio1">'Data Control'!$G$3</definedName>
    <definedName name="AFRatio2">'Data Control'!$G$4</definedName>
    <definedName name="AFRatio3">'Data Control'!$G$5</definedName>
    <definedName name="AFRatios">'Data Control'!$D$3:$D$9</definedName>
    <definedName name="CCPMFactor">'Data Control'!$H$3</definedName>
    <definedName name="LPHFactor">'Data Control'!$H$5</definedName>
    <definedName name="Pressure1">'Fuel Pump Data'!$A$32</definedName>
    <definedName name="Pressure2">'Fuel Pump Data'!$A$33</definedName>
    <definedName name="Pressure3">'Fuel Pump Data'!$A$34</definedName>
    <definedName name="Pressure4">'Fuel Pump Data'!$A$35</definedName>
    <definedName name="PumpDataArray">'Fuel Pump Data'!$A$32:$F$35</definedName>
    <definedName name="PumpTC1">'Data Control'!$B$3</definedName>
    <definedName name="PumpTC2">'Data Control'!$B$4</definedName>
    <definedName name="PumpTC3">'Data Control'!$B$5</definedName>
    <definedName name="PumpType1">'Data Control'!$C$3</definedName>
    <definedName name="PumpType2">'Data Control'!$C$4</definedName>
    <definedName name="PumpType3">'Data Control'!$C$5</definedName>
    <definedName name="PumpTypes">'Data Control'!$A$3:$A$7</definedName>
  </definedNames>
  <calcPr fullCalcOnLoad="1"/>
</workbook>
</file>

<file path=xl/sharedStrings.xml><?xml version="1.0" encoding="utf-8"?>
<sst xmlns="http://schemas.openxmlformats.org/spreadsheetml/2006/main" count="123" uniqueCount="40">
  <si>
    <t>lph</t>
  </si>
  <si>
    <t>MAX Crank HP</t>
  </si>
  <si>
    <t>lph/ccpm factor</t>
  </si>
  <si>
    <t>PSI</t>
  </si>
  <si>
    <t>Walbro 255 LPH - 12.5V</t>
  </si>
  <si>
    <t>Walbro 255 LPH - 14V</t>
  </si>
  <si>
    <t>Walbro "255" LPH HP - 12.5V</t>
  </si>
  <si>
    <t>Walbro "255" LPH HP - 14V</t>
  </si>
  <si>
    <t>Denso 260 LPH Supra Pump - 12.5V</t>
  </si>
  <si>
    <t>Denso 260 LPH Supra Pump - 14V</t>
  </si>
  <si>
    <t>% Change</t>
  </si>
  <si>
    <t>Sard 285 LPH - 12.5V</t>
  </si>
  <si>
    <t>Average % Change</t>
  </si>
  <si>
    <t>MKIV Fuel Pump Calculations</t>
  </si>
  <si>
    <t>MKIV Fuel Pump Graphs</t>
  </si>
  <si>
    <t>A/F Ratio</t>
  </si>
  <si>
    <t>BSFC HP</t>
  </si>
  <si>
    <t>ccpm</t>
  </si>
  <si>
    <t>A/F</t>
  </si>
  <si>
    <t>AFC</t>
  </si>
  <si>
    <t>AFRatio</t>
  </si>
  <si>
    <t>PC1</t>
  </si>
  <si>
    <t>PumpTypes</t>
  </si>
  <si>
    <t>Fuel Pump Info</t>
  </si>
  <si>
    <t>http://www.roadraceengineering.com/fuelpumpflowrates.htm</t>
  </si>
  <si>
    <t>http://mkiv.com/techarticles/fuel_pumps_test/pump_test.jpg</t>
  </si>
  <si>
    <t>Projected Sard 285 lph Flow</t>
  </si>
  <si>
    <t>Fuel Pump Flow Gradient Under Pressure</t>
  </si>
  <si>
    <t>Raw Fuel Pump Data</t>
  </si>
  <si>
    <t>Refined Fuel Pump Data</t>
  </si>
  <si>
    <t>PumpType</t>
  </si>
  <si>
    <t>LPH--&gt;CCPM</t>
  </si>
  <si>
    <t>GPH--&gt;LPH</t>
  </si>
  <si>
    <t>Conversions</t>
  </si>
  <si>
    <t>Data Control</t>
  </si>
  <si>
    <t>Dual Walbro 255 LPH - 12.5V</t>
  </si>
  <si>
    <t xml:space="preserve">liter </t>
  </si>
  <si>
    <t>US gallon</t>
  </si>
  <si>
    <t>=</t>
  </si>
  <si>
    <t>All calculations are based on fuel pumps dyno numbers and do not reflect anything other than the flow characteristics for the pumps themselves. Fuel lines, FPR, fuel rail, injectors etc are not factored into the analysis.</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</si>
</sst>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s>
  <fonts count="46">
    <font>
      <sz val="10"/>
      <name val="Arial"/>
      <family val="0"/>
    </font>
    <font>
      <b/>
      <sz val="10"/>
      <color indexed="9"/>
      <name val="Arial"/>
      <family val="2"/>
    </font>
    <font>
      <b/>
      <sz val="10"/>
      <name val="Arial"/>
      <family val="2"/>
    </font>
    <font>
      <b/>
      <sz val="8"/>
      <color indexed="9"/>
      <name val="Arial"/>
      <family val="2"/>
    </font>
    <font>
      <b/>
      <sz val="8"/>
      <name val="Arial"/>
      <family val="2"/>
    </font>
    <font>
      <sz val="8"/>
      <name val="Arial"/>
      <family val="2"/>
    </font>
    <font>
      <i/>
      <sz val="6"/>
      <name val="Arial"/>
      <family val="2"/>
    </font>
    <font>
      <sz val="8"/>
      <name val="Tahoma"/>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0"/>
      <color indexed="8"/>
      <name val="Arial"/>
      <family val="0"/>
    </font>
    <font>
      <b/>
      <sz val="10"/>
      <color indexed="8"/>
      <name val="Arial"/>
      <family val="0"/>
    </font>
    <font>
      <b/>
      <sz val="12"/>
      <color indexed="8"/>
      <name val="Arial"/>
      <family val="0"/>
    </font>
    <font>
      <sz val="9.2"/>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22"/>
        <bgColor indexed="64"/>
      </patternFill>
    </fill>
    <fill>
      <patternFill patternType="solid">
        <fgColor indexed="9"/>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hair"/>
      <top>
        <color indexed="63"/>
      </top>
      <bottom>
        <color indexed="63"/>
      </bottom>
    </border>
    <border>
      <left style="dotted"/>
      <right style="dotted"/>
      <top>
        <color indexed="63"/>
      </top>
      <bottom style="medium"/>
    </border>
    <border>
      <left style="dotted"/>
      <right>
        <color indexed="63"/>
      </right>
      <top>
        <color indexed="63"/>
      </top>
      <bottom style="medium"/>
    </border>
    <border>
      <left>
        <color indexed="63"/>
      </left>
      <right>
        <color indexed="63"/>
      </right>
      <top style="hair"/>
      <bottom>
        <color indexed="63"/>
      </bottom>
    </border>
    <border>
      <left>
        <color indexed="63"/>
      </left>
      <right>
        <color indexed="63"/>
      </right>
      <top>
        <color indexed="63"/>
      </top>
      <bottom style="hair"/>
    </border>
    <border>
      <left style="dotted"/>
      <right style="dotted"/>
      <top style="dotted"/>
      <bottom style="dotted"/>
    </border>
    <border>
      <left>
        <color indexed="63"/>
      </left>
      <right style="hair"/>
      <top>
        <color indexed="63"/>
      </top>
      <bottom style="hair"/>
    </border>
    <border>
      <left>
        <color indexed="63"/>
      </left>
      <right>
        <color indexed="63"/>
      </right>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62">
    <xf numFmtId="0" fontId="0" fillId="0" borderId="0" xfId="0" applyAlignment="1">
      <alignment/>
    </xf>
    <xf numFmtId="0" fontId="1" fillId="33" borderId="0" xfId="0" applyFont="1" applyFill="1" applyAlignment="1">
      <alignment/>
    </xf>
    <xf numFmtId="0" fontId="1" fillId="33" borderId="0" xfId="0" applyFont="1" applyFill="1" applyAlignment="1">
      <alignment horizontal="center"/>
    </xf>
    <xf numFmtId="0" fontId="0" fillId="34" borderId="0" xfId="0" applyFill="1" applyAlignment="1">
      <alignment/>
    </xf>
    <xf numFmtId="0" fontId="0" fillId="34" borderId="0" xfId="0" applyFill="1" applyAlignment="1">
      <alignment horizontal="right"/>
    </xf>
    <xf numFmtId="0" fontId="0" fillId="34" borderId="0" xfId="0" applyFill="1" applyAlignment="1">
      <alignment horizontal="center"/>
    </xf>
    <xf numFmtId="0" fontId="1" fillId="33" borderId="10" xfId="0" applyFont="1" applyFill="1" applyBorder="1" applyAlignment="1">
      <alignment/>
    </xf>
    <xf numFmtId="0" fontId="0" fillId="34" borderId="10" xfId="0" applyFill="1" applyBorder="1" applyAlignment="1">
      <alignment/>
    </xf>
    <xf numFmtId="0" fontId="1" fillId="33" borderId="0" xfId="0" applyFont="1" applyFill="1" applyBorder="1" applyAlignment="1">
      <alignment horizontal="left"/>
    </xf>
    <xf numFmtId="0" fontId="1" fillId="33" borderId="0" xfId="0" applyFont="1" applyFill="1" applyBorder="1" applyAlignment="1">
      <alignment/>
    </xf>
    <xf numFmtId="0" fontId="0" fillId="34" borderId="0" xfId="0" applyFill="1" applyAlignment="1" quotePrefix="1">
      <alignment/>
    </xf>
    <xf numFmtId="0" fontId="3" fillId="33" borderId="0" xfId="0" applyFont="1" applyFill="1" applyAlignment="1">
      <alignment horizontal="left"/>
    </xf>
    <xf numFmtId="0" fontId="3" fillId="33" borderId="0" xfId="0" applyFont="1" applyFill="1" applyAlignment="1">
      <alignment horizontal="center"/>
    </xf>
    <xf numFmtId="0" fontId="3" fillId="33" borderId="0" xfId="0" applyFont="1" applyFill="1" applyAlignment="1">
      <alignment/>
    </xf>
    <xf numFmtId="0" fontId="4" fillId="0" borderId="0" xfId="0" applyFont="1" applyAlignment="1">
      <alignment horizontal="left"/>
    </xf>
    <xf numFmtId="0" fontId="5" fillId="0" borderId="0" xfId="0" applyFont="1" applyAlignment="1">
      <alignment horizontal="center"/>
    </xf>
    <xf numFmtId="0" fontId="5" fillId="0" borderId="0" xfId="0" applyFont="1" applyAlignment="1">
      <alignment/>
    </xf>
    <xf numFmtId="0" fontId="5" fillId="34" borderId="11" xfId="0" applyFont="1" applyFill="1" applyBorder="1" applyAlignment="1">
      <alignment horizontal="left" vertical="top" wrapText="1"/>
    </xf>
    <xf numFmtId="0" fontId="5" fillId="34" borderId="12" xfId="0" applyFont="1" applyFill="1" applyBorder="1" applyAlignment="1">
      <alignment horizontal="center" vertical="top" wrapText="1"/>
    </xf>
    <xf numFmtId="0" fontId="5" fillId="0" borderId="0" xfId="0" applyFont="1" applyAlignment="1">
      <alignment horizontal="left"/>
    </xf>
    <xf numFmtId="0" fontId="5" fillId="0" borderId="0" xfId="0" applyFont="1" applyAlignment="1">
      <alignment horizontal="right"/>
    </xf>
    <xf numFmtId="10" fontId="5" fillId="0" borderId="0" xfId="0" applyNumberFormat="1" applyFont="1" applyAlignment="1">
      <alignment horizontal="right"/>
    </xf>
    <xf numFmtId="2" fontId="5" fillId="0" borderId="0" xfId="0" applyNumberFormat="1" applyFont="1" applyAlignment="1">
      <alignment horizontal="right"/>
    </xf>
    <xf numFmtId="0" fontId="5" fillId="0" borderId="13" xfId="0" applyFont="1" applyBorder="1" applyAlignment="1">
      <alignment horizontal="left"/>
    </xf>
    <xf numFmtId="0" fontId="5" fillId="0" borderId="13" xfId="0" applyFont="1" applyBorder="1" applyAlignment="1">
      <alignment horizontal="center"/>
    </xf>
    <xf numFmtId="0" fontId="5" fillId="0" borderId="13" xfId="0" applyFont="1" applyBorder="1" applyAlignment="1">
      <alignment/>
    </xf>
    <xf numFmtId="0" fontId="4" fillId="0" borderId="0" xfId="0" applyFont="1" applyBorder="1" applyAlignment="1">
      <alignment horizontal="left"/>
    </xf>
    <xf numFmtId="0" fontId="5" fillId="0" borderId="0" xfId="0" applyFont="1" applyBorder="1" applyAlignment="1">
      <alignment horizontal="center"/>
    </xf>
    <xf numFmtId="0" fontId="5" fillId="0" borderId="0" xfId="0" applyFont="1" applyBorder="1" applyAlignment="1">
      <alignment/>
    </xf>
    <xf numFmtId="0" fontId="5" fillId="0" borderId="0" xfId="0" applyFont="1" applyBorder="1" applyAlignment="1">
      <alignment horizontal="left"/>
    </xf>
    <xf numFmtId="0" fontId="5" fillId="0" borderId="0" xfId="0" applyFont="1" applyBorder="1" applyAlignment="1">
      <alignment horizontal="right"/>
    </xf>
    <xf numFmtId="2" fontId="5" fillId="0" borderId="0" xfId="0" applyNumberFormat="1" applyFont="1" applyBorder="1" applyAlignment="1">
      <alignment/>
    </xf>
    <xf numFmtId="0" fontId="5" fillId="0" borderId="14" xfId="0" applyFont="1" applyBorder="1" applyAlignment="1">
      <alignment horizontal="left"/>
    </xf>
    <xf numFmtId="0" fontId="5" fillId="0" borderId="14" xfId="0" applyFont="1" applyBorder="1" applyAlignment="1">
      <alignment horizontal="center"/>
    </xf>
    <xf numFmtId="0" fontId="5" fillId="0" borderId="14" xfId="0" applyFont="1" applyBorder="1" applyAlignment="1">
      <alignment/>
    </xf>
    <xf numFmtId="0" fontId="1" fillId="33" borderId="15" xfId="0" applyFont="1" applyFill="1" applyBorder="1" applyAlignment="1">
      <alignment/>
    </xf>
    <xf numFmtId="0" fontId="0" fillId="35" borderId="0" xfId="0" applyFont="1" applyFill="1" applyAlignment="1">
      <alignment/>
    </xf>
    <xf numFmtId="0" fontId="0" fillId="35" borderId="0" xfId="0" applyFont="1" applyFill="1" applyAlignment="1">
      <alignment horizontal="left"/>
    </xf>
    <xf numFmtId="0" fontId="0" fillId="35" borderId="0" xfId="0" applyFont="1" applyFill="1" applyAlignment="1">
      <alignment horizontal="right"/>
    </xf>
    <xf numFmtId="0" fontId="0" fillId="35" borderId="0" xfId="0" applyFill="1" applyBorder="1" applyAlignment="1">
      <alignment horizontal="left" vertical="top" wrapText="1"/>
    </xf>
    <xf numFmtId="0" fontId="0" fillId="35" borderId="15" xfId="0" applyFill="1" applyBorder="1" applyAlignment="1">
      <alignment/>
    </xf>
    <xf numFmtId="0" fontId="0" fillId="35" borderId="0" xfId="0" applyFill="1" applyBorder="1" applyAlignment="1">
      <alignment/>
    </xf>
    <xf numFmtId="0" fontId="0" fillId="35" borderId="0" xfId="0" applyFill="1" applyBorder="1" applyAlignment="1">
      <alignment horizontal="left"/>
    </xf>
    <xf numFmtId="0" fontId="0" fillId="35" borderId="0" xfId="0" applyFill="1" applyAlignment="1">
      <alignment/>
    </xf>
    <xf numFmtId="0" fontId="0" fillId="35" borderId="0" xfId="0" applyFill="1" applyAlignment="1">
      <alignment horizontal="center"/>
    </xf>
    <xf numFmtId="0" fontId="0" fillId="35" borderId="10" xfId="0" applyFill="1" applyBorder="1" applyAlignment="1">
      <alignment/>
    </xf>
    <xf numFmtId="1" fontId="0" fillId="35" borderId="0" xfId="0" applyNumberFormat="1" applyFill="1" applyAlignment="1">
      <alignment/>
    </xf>
    <xf numFmtId="2" fontId="0" fillId="35" borderId="0" xfId="0" applyNumberFormat="1" applyFill="1" applyAlignment="1">
      <alignment/>
    </xf>
    <xf numFmtId="1" fontId="2" fillId="35" borderId="0" xfId="0" applyNumberFormat="1" applyFont="1" applyFill="1" applyAlignment="1">
      <alignment/>
    </xf>
    <xf numFmtId="0" fontId="0" fillId="35" borderId="14" xfId="0" applyFill="1" applyBorder="1" applyAlignment="1">
      <alignment/>
    </xf>
    <xf numFmtId="0" fontId="0" fillId="35" borderId="14" xfId="0" applyFill="1" applyBorder="1" applyAlignment="1">
      <alignment horizontal="center"/>
    </xf>
    <xf numFmtId="0" fontId="0" fillId="35" borderId="16" xfId="0" applyFill="1" applyBorder="1" applyAlignment="1">
      <alignment/>
    </xf>
    <xf numFmtId="1" fontId="2" fillId="35" borderId="17" xfId="0" applyNumberFormat="1" applyFont="1" applyFill="1" applyBorder="1" applyAlignment="1">
      <alignment/>
    </xf>
    <xf numFmtId="0" fontId="0" fillId="34" borderId="0" xfId="0" applyFill="1" applyBorder="1" applyAlignment="1">
      <alignment vertical="center"/>
    </xf>
    <xf numFmtId="0" fontId="0" fillId="35" borderId="0" xfId="0" applyFont="1" applyFill="1" applyAlignment="1">
      <alignment horizontal="center"/>
    </xf>
    <xf numFmtId="0" fontId="0" fillId="35" borderId="0" xfId="0" applyFill="1" applyBorder="1" applyAlignment="1">
      <alignment horizontal="center"/>
    </xf>
    <xf numFmtId="0" fontId="0" fillId="34" borderId="0" xfId="0" applyFill="1" applyBorder="1" applyAlignment="1">
      <alignment/>
    </xf>
    <xf numFmtId="0" fontId="0" fillId="34" borderId="0" xfId="0" applyFill="1" applyBorder="1" applyAlignment="1">
      <alignment horizontal="center"/>
    </xf>
    <xf numFmtId="2" fontId="0" fillId="34" borderId="0" xfId="0" applyNumberFormat="1" applyFill="1" applyBorder="1" applyAlignment="1">
      <alignment/>
    </xf>
    <xf numFmtId="1" fontId="0" fillId="34" borderId="0" xfId="0" applyNumberFormat="1" applyFill="1" applyBorder="1" applyAlignment="1">
      <alignment/>
    </xf>
    <xf numFmtId="0" fontId="6" fillId="34" borderId="0" xfId="0" applyFont="1" applyFill="1" applyBorder="1" applyAlignment="1">
      <alignment/>
    </xf>
    <xf numFmtId="0" fontId="0" fillId="34" borderId="0" xfId="0" applyFill="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chartsheet" Target="chartsheets/sheet1.xml" /><Relationship Id="rId3" Type="http://schemas.openxmlformats.org/officeDocument/2006/relationships/worksheet" Target="worksheets/sheet2.xml" /><Relationship Id="rId4" Type="http://schemas.openxmlformats.org/officeDocument/2006/relationships/worksheet" Target="worksheets/sheet3.xml" /><Relationship Id="rId5" Type="http://schemas.openxmlformats.org/officeDocument/2006/relationships/worksheet" Target="worksheets/sheet4.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MKIV Fuel Pump Flow Comparison</a:t>
            </a:r>
          </a:p>
        </c:rich>
      </c:tx>
      <c:layout>
        <c:manualLayout>
          <c:xMode val="factor"/>
          <c:yMode val="factor"/>
          <c:x val="0.001"/>
          <c:y val="0"/>
        </c:manualLayout>
      </c:layout>
      <c:spPr>
        <a:noFill/>
        <a:ln>
          <a:noFill/>
        </a:ln>
      </c:spPr>
    </c:title>
    <c:plotArea>
      <c:layout>
        <c:manualLayout>
          <c:xMode val="edge"/>
          <c:yMode val="edge"/>
          <c:x val="0.038"/>
          <c:y val="0.1045"/>
          <c:w val="0.66475"/>
          <c:h val="0.84025"/>
        </c:manualLayout>
      </c:layout>
      <c:scatterChart>
        <c:scatterStyle val="lineMarker"/>
        <c:varyColors val="0"/>
        <c:ser>
          <c:idx val="0"/>
          <c:order val="0"/>
          <c:tx>
            <c:strRef>
              <c:f>'Fuel Pump Data'!$B$31</c:f>
              <c:strCache>
                <c:ptCount val="1"/>
                <c:pt idx="0">
                  <c:v>Walbro 255 LPH - 12.5V</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xVal>
            <c:numRef>
              <c:f>'Fuel Pump Data'!$A$32:$A$35</c:f>
              <c:numCache>
                <c:ptCount val="4"/>
                <c:pt idx="0">
                  <c:v>0</c:v>
                </c:pt>
                <c:pt idx="1">
                  <c:v>43</c:v>
                </c:pt>
                <c:pt idx="2">
                  <c:v>58</c:v>
                </c:pt>
                <c:pt idx="3">
                  <c:v>73</c:v>
                </c:pt>
              </c:numCache>
            </c:numRef>
          </c:xVal>
          <c:yVal>
            <c:numRef>
              <c:f>'Fuel Pump Data'!$B$32:$B$35</c:f>
              <c:numCache>
                <c:ptCount val="4"/>
                <c:pt idx="0">
                  <c:v>255</c:v>
                </c:pt>
                <c:pt idx="1">
                  <c:v>229.02</c:v>
                </c:pt>
                <c:pt idx="2">
                  <c:v>201.89</c:v>
                </c:pt>
                <c:pt idx="3">
                  <c:v>147</c:v>
                </c:pt>
              </c:numCache>
            </c:numRef>
          </c:yVal>
          <c:smooth val="0"/>
        </c:ser>
        <c:ser>
          <c:idx val="1"/>
          <c:order val="1"/>
          <c:tx>
            <c:strRef>
              <c:f>'Fuel Pump Data'!$C$31</c:f>
              <c:strCache>
                <c:ptCount val="1"/>
                <c:pt idx="0">
                  <c:v>Walbro "255" LPH HP - 12.5V</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xVal>
            <c:numRef>
              <c:f>'Fuel Pump Data'!$A$32:$A$35</c:f>
              <c:numCache>
                <c:ptCount val="4"/>
                <c:pt idx="0">
                  <c:v>0</c:v>
                </c:pt>
                <c:pt idx="1">
                  <c:v>43</c:v>
                </c:pt>
                <c:pt idx="2">
                  <c:v>58</c:v>
                </c:pt>
                <c:pt idx="3">
                  <c:v>73</c:v>
                </c:pt>
              </c:numCache>
            </c:numRef>
          </c:xVal>
          <c:yVal>
            <c:numRef>
              <c:f>'Fuel Pump Data'!$C$32:$C$35</c:f>
              <c:numCache>
                <c:ptCount val="4"/>
                <c:pt idx="0">
                  <c:v>255</c:v>
                </c:pt>
                <c:pt idx="1">
                  <c:v>233.4</c:v>
                </c:pt>
                <c:pt idx="2">
                  <c:v>210.1</c:v>
                </c:pt>
                <c:pt idx="3">
                  <c:v>189.3</c:v>
                </c:pt>
              </c:numCache>
            </c:numRef>
          </c:yVal>
          <c:smooth val="0"/>
        </c:ser>
        <c:ser>
          <c:idx val="2"/>
          <c:order val="2"/>
          <c:tx>
            <c:strRef>
              <c:f>'Fuel Pump Data'!$D$31</c:f>
              <c:strCache>
                <c:ptCount val="1"/>
                <c:pt idx="0">
                  <c:v>Denso 260 LPH Supra Pump - 12.5V</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xVal>
            <c:numRef>
              <c:f>'Fuel Pump Data'!$A$32:$A$35</c:f>
              <c:numCache>
                <c:ptCount val="4"/>
                <c:pt idx="0">
                  <c:v>0</c:v>
                </c:pt>
                <c:pt idx="1">
                  <c:v>43</c:v>
                </c:pt>
                <c:pt idx="2">
                  <c:v>58</c:v>
                </c:pt>
                <c:pt idx="3">
                  <c:v>73</c:v>
                </c:pt>
              </c:numCache>
            </c:numRef>
          </c:xVal>
          <c:yVal>
            <c:numRef>
              <c:f>'Fuel Pump Data'!$D$32:$D$35</c:f>
              <c:numCache>
                <c:ptCount val="4"/>
                <c:pt idx="0">
                  <c:v>260</c:v>
                </c:pt>
                <c:pt idx="1">
                  <c:v>258.04</c:v>
                </c:pt>
                <c:pt idx="2">
                  <c:v>227.13</c:v>
                </c:pt>
                <c:pt idx="3">
                  <c:v>190.54</c:v>
                </c:pt>
              </c:numCache>
            </c:numRef>
          </c:yVal>
          <c:smooth val="0"/>
        </c:ser>
        <c:ser>
          <c:idx val="3"/>
          <c:order val="3"/>
          <c:tx>
            <c:strRef>
              <c:f>'Fuel Pump Data'!$E$31</c:f>
              <c:strCache>
                <c:ptCount val="1"/>
                <c:pt idx="0">
                  <c:v>Sard 285 LPH - 12.5V</c:v>
                </c:pt>
              </c:strCache>
            </c:strRef>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FFFF"/>
                </a:solidFill>
              </a:ln>
            </c:spPr>
          </c:marker>
          <c:xVal>
            <c:numRef>
              <c:f>'Fuel Pump Data'!$A$32:$A$35</c:f>
              <c:numCache>
                <c:ptCount val="4"/>
                <c:pt idx="0">
                  <c:v>0</c:v>
                </c:pt>
                <c:pt idx="1">
                  <c:v>43</c:v>
                </c:pt>
                <c:pt idx="2">
                  <c:v>58</c:v>
                </c:pt>
                <c:pt idx="3">
                  <c:v>73</c:v>
                </c:pt>
              </c:numCache>
            </c:numRef>
          </c:xVal>
          <c:yVal>
            <c:numRef>
              <c:f>'Fuel Pump Data'!$E$32:$E$35</c:f>
              <c:numCache>
                <c:ptCount val="4"/>
                <c:pt idx="0">
                  <c:v>285</c:v>
                </c:pt>
                <c:pt idx="1">
                  <c:v>266.557963800905</c:v>
                </c:pt>
                <c:pt idx="2">
                  <c:v>236.51887869025256</c:v>
                </c:pt>
                <c:pt idx="3">
                  <c:v>194.5779026702483</c:v>
                </c:pt>
              </c:numCache>
            </c:numRef>
          </c:yVal>
          <c:smooth val="0"/>
        </c:ser>
        <c:ser>
          <c:idx val="4"/>
          <c:order val="4"/>
          <c:tx>
            <c:strRef>
              <c:f>'Fuel Pump Data'!$F$31</c:f>
              <c:strCache>
                <c:ptCount val="1"/>
                <c:pt idx="0">
                  <c:v>Dual Walbro 255 LPH - 12.5V</c:v>
                </c:pt>
              </c:strCache>
            </c:strRef>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800080"/>
                </a:solidFill>
              </a:ln>
            </c:spPr>
          </c:marker>
          <c:xVal>
            <c:numRef>
              <c:f>'Fuel Pump Data'!$A$32:$A$35</c:f>
              <c:numCache>
                <c:ptCount val="4"/>
                <c:pt idx="0">
                  <c:v>0</c:v>
                </c:pt>
                <c:pt idx="1">
                  <c:v>43</c:v>
                </c:pt>
                <c:pt idx="2">
                  <c:v>58</c:v>
                </c:pt>
                <c:pt idx="3">
                  <c:v>73</c:v>
                </c:pt>
              </c:numCache>
            </c:numRef>
          </c:xVal>
          <c:yVal>
            <c:numRef>
              <c:f>'Fuel Pump Data'!$F$32:$F$35</c:f>
              <c:numCache>
                <c:ptCount val="4"/>
                <c:pt idx="0">
                  <c:v>510</c:v>
                </c:pt>
                <c:pt idx="1">
                  <c:v>370.9703567392146</c:v>
                </c:pt>
                <c:pt idx="2">
                  <c:v>310.4037678838326</c:v>
                </c:pt>
                <c:pt idx="3">
                  <c:v>219.55388460075966</c:v>
                </c:pt>
              </c:numCache>
            </c:numRef>
          </c:yVal>
          <c:smooth val="0"/>
        </c:ser>
        <c:axId val="66642311"/>
        <c:axId val="62909888"/>
      </c:scatterChart>
      <c:valAx>
        <c:axId val="66642311"/>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PSI</a:t>
                </a:r>
              </a:p>
            </c:rich>
          </c:tx>
          <c:layout>
            <c:manualLayout>
              <c:xMode val="factor"/>
              <c:yMode val="factor"/>
              <c:x val="0"/>
              <c:y val="0.000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62909888"/>
        <c:crosses val="autoZero"/>
        <c:crossBetween val="midCat"/>
        <c:dispUnits/>
      </c:valAx>
      <c:valAx>
        <c:axId val="62909888"/>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LPH</a:t>
                </a:r>
              </a:p>
            </c:rich>
          </c:tx>
          <c:layout>
            <c:manualLayout>
              <c:xMode val="factor"/>
              <c:yMode val="factor"/>
              <c:x val="-0.00175"/>
              <c:y val="-0.001"/>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66642311"/>
        <c:crosses val="autoZero"/>
        <c:crossBetween val="midCat"/>
        <c:dispUnits/>
      </c:valAx>
      <c:spPr>
        <a:solidFill>
          <a:srgbClr val="C0C0C0"/>
        </a:solidFill>
        <a:ln w="12700">
          <a:solidFill>
            <a:srgbClr val="808080"/>
          </a:solidFill>
        </a:ln>
      </c:spPr>
    </c:plotArea>
    <c:legend>
      <c:legendPos val="r"/>
      <c:layout>
        <c:manualLayout>
          <c:xMode val="edge"/>
          <c:yMode val="edge"/>
          <c:x val="0.714"/>
          <c:y val="0.42175"/>
          <c:w val="0.2805"/>
          <c:h val="0.1712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sheet1.xml><?xml version="1.0" encoding="utf-8"?>
<chartsheet xmlns="http://schemas.openxmlformats.org/spreadsheetml/2006/main" xmlns:r="http://schemas.openxmlformats.org/officeDocument/2006/relationships">
  <sheetPr codeName="Chart4"/>
  <sheetViews>
    <sheetView workbookViewId="0" zoomScale="99"/>
  </sheetViews>
  <pageMargins left="0.75" right="0.75" top="1" bottom="1" header="0.5" footer="0.5"/>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832256400" y="832256400"/>
        <a:ext cx="8639175" cy="593407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T39"/>
  <sheetViews>
    <sheetView tabSelected="1" zoomScalePageLayoutView="0" workbookViewId="0" topLeftCell="A1">
      <selection activeCell="C33" sqref="C33"/>
    </sheetView>
  </sheetViews>
  <sheetFormatPr defaultColWidth="9.140625" defaultRowHeight="12.75"/>
  <cols>
    <col min="1" max="1" width="10.7109375" style="43" customWidth="1"/>
    <col min="2" max="2" width="9.140625" style="43" customWidth="1"/>
    <col min="3" max="3" width="4.140625" style="44" customWidth="1"/>
    <col min="4" max="4" width="3.7109375" style="45" customWidth="1"/>
    <col min="5" max="5" width="10.7109375" style="43" customWidth="1"/>
    <col min="6" max="6" width="9.140625" style="43" customWidth="1"/>
    <col min="7" max="7" width="4.140625" style="44" customWidth="1"/>
    <col min="8" max="8" width="3.7109375" style="45" customWidth="1"/>
    <col min="9" max="9" width="10.7109375" style="43" customWidth="1"/>
    <col min="10" max="10" width="9.140625" style="43" customWidth="1"/>
    <col min="11" max="11" width="4.140625" style="44" customWidth="1"/>
    <col min="12" max="12" width="3.7109375" style="45" customWidth="1"/>
    <col min="13" max="13" width="10.7109375" style="43" customWidth="1"/>
    <col min="14" max="14" width="9.140625" style="43" customWidth="1"/>
    <col min="15" max="15" width="4.140625" style="44" customWidth="1"/>
    <col min="16" max="16" width="3.7109375" style="45" customWidth="1"/>
    <col min="17" max="16384" width="9.140625" style="43" customWidth="1"/>
  </cols>
  <sheetData>
    <row r="1" spans="1:16" s="1" customFormat="1" ht="12.75">
      <c r="A1" s="1" t="s">
        <v>13</v>
      </c>
      <c r="C1" s="2"/>
      <c r="D1" s="6"/>
      <c r="G1" s="2"/>
      <c r="H1" s="6"/>
      <c r="K1" s="2"/>
      <c r="L1" s="6"/>
      <c r="O1" s="2"/>
      <c r="P1" s="6"/>
    </row>
    <row r="2" ht="16.5" customHeight="1"/>
    <row r="3" spans="1:16" s="3" customFormat="1" ht="12.75">
      <c r="A3" s="10" t="str">
        <f>CONCATENATE("@ ",Pressure1," PSI")</f>
        <v>@ 0 PSI</v>
      </c>
      <c r="B3" s="4"/>
      <c r="C3" s="5"/>
      <c r="D3" s="7"/>
      <c r="E3" s="10" t="str">
        <f>CONCATENATE("@ ",Pressure2," PSI")</f>
        <v>@ 43 PSI</v>
      </c>
      <c r="F3" s="4"/>
      <c r="G3" s="5"/>
      <c r="H3" s="7"/>
      <c r="I3" s="10" t="str">
        <f>CONCATENATE("@ ",Pressure3," PSI")</f>
        <v>@ 58 PSI</v>
      </c>
      <c r="J3" s="4"/>
      <c r="K3" s="5"/>
      <c r="L3" s="7"/>
      <c r="M3" s="10" t="str">
        <f>CONCATENATE("@ ",Pressure4," PSI")</f>
        <v>@ 73 PSI</v>
      </c>
      <c r="N3" s="4"/>
      <c r="O3" s="5"/>
      <c r="P3" s="7"/>
    </row>
    <row r="4" spans="1:14" ht="12.75">
      <c r="A4" s="46">
        <f>VLOOKUP(Pressure1,PumpDataArray,PumpTC1+1)</f>
        <v>260</v>
      </c>
      <c r="B4" s="43" t="s">
        <v>0</v>
      </c>
      <c r="E4" s="46">
        <f>VLOOKUP(Pressure2,PumpDataArray,PumpTC1+1)</f>
        <v>258.04</v>
      </c>
      <c r="F4" s="43" t="s">
        <v>0</v>
      </c>
      <c r="I4" s="46">
        <f>VLOOKUP(Pressure3,PumpDataArray,PumpTC1+1)</f>
        <v>227.13</v>
      </c>
      <c r="J4" s="43" t="s">
        <v>0</v>
      </c>
      <c r="M4" s="46">
        <f>VLOOKUP(Pressure4,PumpDataArray,PumpTC1+1)</f>
        <v>190.54</v>
      </c>
      <c r="N4" s="43" t="s">
        <v>0</v>
      </c>
    </row>
    <row r="5" spans="1:14" ht="12.75">
      <c r="A5" s="47">
        <f>CCPMFactor</f>
        <v>16.666666666666668</v>
      </c>
      <c r="B5" s="43" t="s">
        <v>2</v>
      </c>
      <c r="E5" s="47">
        <f>CCPMFactor</f>
        <v>16.666666666666668</v>
      </c>
      <c r="F5" s="43" t="s">
        <v>2</v>
      </c>
      <c r="I5" s="47">
        <f>CCPMFactor</f>
        <v>16.666666666666668</v>
      </c>
      <c r="J5" s="43" t="s">
        <v>2</v>
      </c>
      <c r="M5" s="47">
        <f>CCPMFactor</f>
        <v>16.666666666666668</v>
      </c>
      <c r="N5" s="43" t="s">
        <v>2</v>
      </c>
    </row>
    <row r="6" spans="1:14" ht="12.75">
      <c r="A6" s="46">
        <f>A4*A5</f>
        <v>4333.333333333334</v>
      </c>
      <c r="B6" s="43" t="s">
        <v>17</v>
      </c>
      <c r="E6" s="46">
        <f>E4*E5</f>
        <v>4300.666666666667</v>
      </c>
      <c r="F6" s="43" t="s">
        <v>17</v>
      </c>
      <c r="I6" s="46">
        <f>I4*I5</f>
        <v>3785.5</v>
      </c>
      <c r="J6" s="43" t="s">
        <v>17</v>
      </c>
      <c r="M6" s="46">
        <f>M4*M5</f>
        <v>3175.666666666667</v>
      </c>
      <c r="N6" s="43" t="s">
        <v>17</v>
      </c>
    </row>
    <row r="7" spans="1:14" ht="12.75">
      <c r="A7" s="43">
        <f>AFRatio1</f>
        <v>11.5</v>
      </c>
      <c r="B7" s="43" t="s">
        <v>15</v>
      </c>
      <c r="E7" s="43">
        <f>AFRatio1</f>
        <v>11.5</v>
      </c>
      <c r="F7" s="43" t="s">
        <v>15</v>
      </c>
      <c r="I7" s="43">
        <f>AFRatio1</f>
        <v>11.5</v>
      </c>
      <c r="J7" s="43" t="s">
        <v>15</v>
      </c>
      <c r="M7" s="43">
        <f>AFRatio1</f>
        <v>11.5</v>
      </c>
      <c r="N7" s="43" t="s">
        <v>15</v>
      </c>
    </row>
    <row r="8" spans="1:14" ht="12.75">
      <c r="A8" s="43">
        <v>0.5</v>
      </c>
      <c r="B8" s="43" t="s">
        <v>16</v>
      </c>
      <c r="E8" s="43">
        <v>0.5</v>
      </c>
      <c r="F8" s="43" t="s">
        <v>16</v>
      </c>
      <c r="I8" s="43">
        <v>0.5</v>
      </c>
      <c r="J8" s="43" t="s">
        <v>16</v>
      </c>
      <c r="M8" s="43">
        <v>0.5</v>
      </c>
      <c r="N8" s="43" t="s">
        <v>16</v>
      </c>
    </row>
    <row r="10" spans="1:14" ht="12.75">
      <c r="A10" s="52">
        <f>A6/A7/A8</f>
        <v>753.6231884057972</v>
      </c>
      <c r="B10" s="43" t="s">
        <v>1</v>
      </c>
      <c r="E10" s="52">
        <f>E6/E7/E8</f>
        <v>747.9420289855072</v>
      </c>
      <c r="F10" s="43" t="s">
        <v>1</v>
      </c>
      <c r="I10" s="52">
        <f>I6/I7/I8</f>
        <v>658.3478260869565</v>
      </c>
      <c r="J10" s="43" t="s">
        <v>1</v>
      </c>
      <c r="M10" s="52">
        <f>M6/M7/M8</f>
        <v>552.2898550724639</v>
      </c>
      <c r="N10" s="43" t="s">
        <v>1</v>
      </c>
    </row>
    <row r="11" spans="3:16" s="49" customFormat="1" ht="12.75">
      <c r="C11" s="50"/>
      <c r="D11" s="51"/>
      <c r="G11" s="50"/>
      <c r="H11" s="51"/>
      <c r="K11" s="50"/>
      <c r="L11" s="51"/>
      <c r="O11" s="50"/>
      <c r="P11" s="51"/>
    </row>
    <row r="12" ht="16.5" customHeight="1"/>
    <row r="13" spans="1:16" s="3" customFormat="1" ht="12.75">
      <c r="A13" s="10" t="str">
        <f>CONCATENATE("@ ",Pressure1," PSI")</f>
        <v>@ 0 PSI</v>
      </c>
      <c r="B13" s="4"/>
      <c r="C13" s="5"/>
      <c r="D13" s="7"/>
      <c r="E13" s="10" t="str">
        <f>CONCATENATE("@ ",Pressure2," PSI")</f>
        <v>@ 43 PSI</v>
      </c>
      <c r="F13" s="4"/>
      <c r="G13" s="5"/>
      <c r="H13" s="7"/>
      <c r="I13" s="10" t="str">
        <f>CONCATENATE("@ ",Pressure3," PSI")</f>
        <v>@ 58 PSI</v>
      </c>
      <c r="J13" s="4"/>
      <c r="K13" s="5"/>
      <c r="L13" s="7"/>
      <c r="M13" s="10" t="str">
        <f>CONCATENATE("@ ",Pressure4," PSI")</f>
        <v>@ 73 PSI</v>
      </c>
      <c r="N13" s="4"/>
      <c r="O13" s="5"/>
      <c r="P13" s="7"/>
    </row>
    <row r="14" spans="1:14" ht="12.75">
      <c r="A14" s="46">
        <f>VLOOKUP(Pressure1,PumpDataArray,PumpTC2+1)</f>
        <v>255</v>
      </c>
      <c r="B14" s="43" t="s">
        <v>0</v>
      </c>
      <c r="E14" s="46">
        <f>VLOOKUP(Pressure2,PumpDataArray,PumpTC2+1)</f>
        <v>229.02</v>
      </c>
      <c r="F14" s="43" t="s">
        <v>0</v>
      </c>
      <c r="I14" s="46">
        <f>VLOOKUP(Pressure3,PumpDataArray,PumpTC2+1)</f>
        <v>201.89</v>
      </c>
      <c r="J14" s="43" t="s">
        <v>0</v>
      </c>
      <c r="M14" s="46">
        <f>VLOOKUP(Pressure4,PumpDataArray,PumpTC2+1)</f>
        <v>147</v>
      </c>
      <c r="N14" s="43" t="s">
        <v>0</v>
      </c>
    </row>
    <row r="15" spans="1:14" ht="12.75">
      <c r="A15" s="47">
        <f>CCPMFactor</f>
        <v>16.666666666666668</v>
      </c>
      <c r="B15" s="43" t="s">
        <v>2</v>
      </c>
      <c r="E15" s="47">
        <f>CCPMFactor</f>
        <v>16.666666666666668</v>
      </c>
      <c r="F15" s="43" t="s">
        <v>2</v>
      </c>
      <c r="I15" s="47">
        <f>CCPMFactor</f>
        <v>16.666666666666668</v>
      </c>
      <c r="J15" s="43" t="s">
        <v>2</v>
      </c>
      <c r="M15" s="47">
        <f>CCPMFactor</f>
        <v>16.666666666666668</v>
      </c>
      <c r="N15" s="43" t="s">
        <v>2</v>
      </c>
    </row>
    <row r="16" spans="1:14" ht="12.75">
      <c r="A16" s="46">
        <f>A14*A15</f>
        <v>4250</v>
      </c>
      <c r="B16" s="43" t="s">
        <v>17</v>
      </c>
      <c r="E16" s="46">
        <f>E14*E15</f>
        <v>3817.0000000000005</v>
      </c>
      <c r="F16" s="43" t="s">
        <v>17</v>
      </c>
      <c r="I16" s="46">
        <f>I14*I15</f>
        <v>3364.8333333333335</v>
      </c>
      <c r="J16" s="43" t="s">
        <v>17</v>
      </c>
      <c r="M16" s="46">
        <f>M14*M15</f>
        <v>2450</v>
      </c>
      <c r="N16" s="43" t="s">
        <v>17</v>
      </c>
    </row>
    <row r="17" spans="1:14" ht="12.75">
      <c r="A17" s="43">
        <f>AFRatio2</f>
        <v>10.5</v>
      </c>
      <c r="B17" s="43" t="s">
        <v>15</v>
      </c>
      <c r="E17" s="43">
        <f>AFRatio2</f>
        <v>10.5</v>
      </c>
      <c r="F17" s="43" t="s">
        <v>15</v>
      </c>
      <c r="I17" s="43">
        <f>AFRatio2</f>
        <v>10.5</v>
      </c>
      <c r="J17" s="43" t="s">
        <v>15</v>
      </c>
      <c r="M17" s="43">
        <f>AFRatio2</f>
        <v>10.5</v>
      </c>
      <c r="N17" s="43" t="s">
        <v>15</v>
      </c>
    </row>
    <row r="18" spans="1:14" ht="12.75">
      <c r="A18" s="43">
        <v>0.5</v>
      </c>
      <c r="B18" s="43" t="s">
        <v>16</v>
      </c>
      <c r="E18" s="43">
        <v>0.5</v>
      </c>
      <c r="F18" s="43" t="s">
        <v>16</v>
      </c>
      <c r="I18" s="43">
        <v>0.5</v>
      </c>
      <c r="J18" s="43" t="s">
        <v>16</v>
      </c>
      <c r="M18" s="43">
        <v>0.5</v>
      </c>
      <c r="N18" s="43" t="s">
        <v>16</v>
      </c>
    </row>
    <row r="20" spans="1:14" ht="12.75">
      <c r="A20" s="52">
        <f>A16/A17/A18</f>
        <v>809.5238095238095</v>
      </c>
      <c r="B20" s="43" t="s">
        <v>1</v>
      </c>
      <c r="E20" s="52">
        <f>E16/E17/E18</f>
        <v>727.0476190476192</v>
      </c>
      <c r="F20" s="43" t="s">
        <v>1</v>
      </c>
      <c r="I20" s="52">
        <f>I16/I17/I18</f>
        <v>640.9206349206349</v>
      </c>
      <c r="J20" s="43" t="s">
        <v>1</v>
      </c>
      <c r="M20" s="52">
        <f>M16/M17/M18</f>
        <v>466.6666666666667</v>
      </c>
      <c r="N20" s="43" t="s">
        <v>1</v>
      </c>
    </row>
    <row r="21" spans="3:16" s="49" customFormat="1" ht="12.75">
      <c r="C21" s="50"/>
      <c r="D21" s="51"/>
      <c r="G21" s="50"/>
      <c r="H21" s="51"/>
      <c r="K21" s="50"/>
      <c r="L21" s="51"/>
      <c r="O21" s="50"/>
      <c r="P21" s="51"/>
    </row>
    <row r="22" ht="16.5" customHeight="1"/>
    <row r="23" spans="1:16" s="3" customFormat="1" ht="12.75">
      <c r="A23" s="10" t="str">
        <f>CONCATENATE("@ ",Pressure1," PSI")</f>
        <v>@ 0 PSI</v>
      </c>
      <c r="B23" s="4"/>
      <c r="C23" s="5"/>
      <c r="D23" s="7"/>
      <c r="E23" s="10" t="str">
        <f>CONCATENATE("@ ",Pressure2," PSI")</f>
        <v>@ 43 PSI</v>
      </c>
      <c r="F23" s="4"/>
      <c r="G23" s="5"/>
      <c r="H23" s="7"/>
      <c r="I23" s="10" t="str">
        <f>CONCATENATE("@ ",Pressure3," PSI")</f>
        <v>@ 58 PSI</v>
      </c>
      <c r="J23" s="4"/>
      <c r="K23" s="5"/>
      <c r="L23" s="7"/>
      <c r="M23" s="10" t="str">
        <f>CONCATENATE("@ ",Pressure4," PSI")</f>
        <v>@ 73 PSI</v>
      </c>
      <c r="N23" s="4"/>
      <c r="O23" s="5"/>
      <c r="P23" s="7"/>
    </row>
    <row r="24" spans="1:14" ht="12.75">
      <c r="A24" s="46">
        <f>VLOOKUP(Pressure1,PumpDataArray,PumpTC3+1)</f>
        <v>510</v>
      </c>
      <c r="B24" s="43" t="s">
        <v>0</v>
      </c>
      <c r="E24" s="46">
        <f>VLOOKUP(Pressure2,PumpDataArray,PumpTC3+1)</f>
        <v>370.9703567392146</v>
      </c>
      <c r="F24" s="43" t="s">
        <v>0</v>
      </c>
      <c r="I24" s="46">
        <f>VLOOKUP(Pressure3,PumpDataArray,PumpTC3+1)</f>
        <v>310.4037678838326</v>
      </c>
      <c r="J24" s="43" t="s">
        <v>0</v>
      </c>
      <c r="M24" s="46">
        <f>VLOOKUP(Pressure4,PumpDataArray,PumpTC3+1)</f>
        <v>219.55388460075966</v>
      </c>
      <c r="N24" s="43" t="s">
        <v>0</v>
      </c>
    </row>
    <row r="25" spans="1:14" ht="12.75">
      <c r="A25" s="47">
        <f>CCPMFactor</f>
        <v>16.666666666666668</v>
      </c>
      <c r="B25" s="43" t="s">
        <v>2</v>
      </c>
      <c r="E25" s="47">
        <f>CCPMFactor</f>
        <v>16.666666666666668</v>
      </c>
      <c r="F25" s="43" t="s">
        <v>2</v>
      </c>
      <c r="I25" s="47">
        <f>CCPMFactor</f>
        <v>16.666666666666668</v>
      </c>
      <c r="J25" s="43" t="s">
        <v>2</v>
      </c>
      <c r="M25" s="47">
        <f>CCPMFactor</f>
        <v>16.666666666666668</v>
      </c>
      <c r="N25" s="43" t="s">
        <v>2</v>
      </c>
    </row>
    <row r="26" spans="1:14" ht="12.75">
      <c r="A26" s="46">
        <f>A24*A25</f>
        <v>8500</v>
      </c>
      <c r="B26" s="43" t="s">
        <v>17</v>
      </c>
      <c r="E26" s="46">
        <f>E24*E25</f>
        <v>6182.83927898691</v>
      </c>
      <c r="F26" s="43" t="s">
        <v>17</v>
      </c>
      <c r="I26" s="46">
        <f>I24*I25</f>
        <v>5173.39613139721</v>
      </c>
      <c r="J26" s="43" t="s">
        <v>17</v>
      </c>
      <c r="M26" s="46">
        <f>M24*M25</f>
        <v>3659.2314100126614</v>
      </c>
      <c r="N26" s="43" t="s">
        <v>17</v>
      </c>
    </row>
    <row r="27" spans="1:14" ht="12.75">
      <c r="A27" s="43">
        <f>AFRatio3</f>
        <v>10.5</v>
      </c>
      <c r="B27" s="43" t="s">
        <v>15</v>
      </c>
      <c r="E27" s="43">
        <f>AFRatio3</f>
        <v>10.5</v>
      </c>
      <c r="F27" s="43" t="s">
        <v>15</v>
      </c>
      <c r="I27" s="43">
        <f>AFRatio3</f>
        <v>10.5</v>
      </c>
      <c r="J27" s="43" t="s">
        <v>15</v>
      </c>
      <c r="M27" s="43">
        <f>AFRatio3</f>
        <v>10.5</v>
      </c>
      <c r="N27" s="43" t="s">
        <v>15</v>
      </c>
    </row>
    <row r="28" spans="1:14" ht="12.75">
      <c r="A28" s="43">
        <v>0.5</v>
      </c>
      <c r="B28" s="43" t="s">
        <v>16</v>
      </c>
      <c r="E28" s="43">
        <v>0.5</v>
      </c>
      <c r="F28" s="43" t="s">
        <v>16</v>
      </c>
      <c r="I28" s="43">
        <v>0.5</v>
      </c>
      <c r="J28" s="43" t="s">
        <v>16</v>
      </c>
      <c r="M28" s="43">
        <v>0.5</v>
      </c>
      <c r="N28" s="43" t="s">
        <v>16</v>
      </c>
    </row>
    <row r="30" spans="1:14" ht="12.75">
      <c r="A30" s="52">
        <f>A26/A27/A28</f>
        <v>1619.047619047619</v>
      </c>
      <c r="B30" s="43" t="s">
        <v>1</v>
      </c>
      <c r="E30" s="52">
        <f>E26/E27/E28</f>
        <v>1177.683672187983</v>
      </c>
      <c r="F30" s="43" t="s">
        <v>1</v>
      </c>
      <c r="I30" s="52">
        <f>I26/I27/I28</f>
        <v>985.408786932802</v>
      </c>
      <c r="J30" s="43" t="s">
        <v>1</v>
      </c>
      <c r="M30" s="52">
        <f>M26/M27/M28</f>
        <v>696.9964590500307</v>
      </c>
      <c r="N30" s="43" t="s">
        <v>1</v>
      </c>
    </row>
    <row r="31" spans="1:20" s="49" customFormat="1" ht="12.75">
      <c r="A31" s="41"/>
      <c r="B31" s="41"/>
      <c r="C31" s="55"/>
      <c r="D31" s="45"/>
      <c r="E31" s="41"/>
      <c r="F31" s="41"/>
      <c r="G31" s="55"/>
      <c r="H31" s="45"/>
      <c r="I31" s="41"/>
      <c r="J31" s="41"/>
      <c r="K31" s="55"/>
      <c r="L31" s="45"/>
      <c r="M31" s="41"/>
      <c r="N31" s="41"/>
      <c r="O31" s="55"/>
      <c r="P31" s="45"/>
      <c r="Q31" s="41"/>
      <c r="R31" s="41"/>
      <c r="S31" s="41"/>
      <c r="T31" s="41"/>
    </row>
    <row r="32" spans="1:20" ht="16.5" customHeight="1">
      <c r="A32" s="56"/>
      <c r="B32" s="56"/>
      <c r="C32" s="57"/>
      <c r="D32" s="56"/>
      <c r="E32" s="56"/>
      <c r="F32" s="56"/>
      <c r="G32" s="57"/>
      <c r="H32" s="56"/>
      <c r="I32" s="56"/>
      <c r="J32" s="56"/>
      <c r="K32" s="57"/>
      <c r="L32" s="56"/>
      <c r="M32" s="56"/>
      <c r="N32" s="56"/>
      <c r="O32" s="57"/>
      <c r="P32" s="56"/>
      <c r="Q32" s="56"/>
      <c r="R32" s="56"/>
      <c r="S32" s="56"/>
      <c r="T32" s="56"/>
    </row>
    <row r="33" spans="1:20" ht="12.75">
      <c r="A33" s="60" t="s">
        <v>39</v>
      </c>
      <c r="B33" s="56"/>
      <c r="C33" s="57"/>
      <c r="D33" s="56"/>
      <c r="E33" s="56"/>
      <c r="F33" s="56"/>
      <c r="G33" s="57"/>
      <c r="H33" s="56"/>
      <c r="I33" s="56"/>
      <c r="J33" s="56"/>
      <c r="K33" s="57"/>
      <c r="L33" s="56"/>
      <c r="M33" s="56"/>
      <c r="N33" s="56"/>
      <c r="O33" s="57"/>
      <c r="P33" s="56"/>
      <c r="Q33" s="56"/>
      <c r="R33" s="56"/>
      <c r="S33" s="56"/>
      <c r="T33" s="56"/>
    </row>
    <row r="34" spans="1:20" ht="12.75">
      <c r="A34" s="58"/>
      <c r="B34" s="56"/>
      <c r="C34" s="57"/>
      <c r="D34" s="56"/>
      <c r="E34" s="58"/>
      <c r="F34" s="56"/>
      <c r="G34" s="57"/>
      <c r="H34" s="56"/>
      <c r="I34" s="58"/>
      <c r="J34" s="56"/>
      <c r="K34" s="57"/>
      <c r="L34" s="56"/>
      <c r="M34" s="58"/>
      <c r="N34" s="56"/>
      <c r="O34" s="57"/>
      <c r="P34" s="56"/>
      <c r="Q34" s="56"/>
      <c r="R34" s="56"/>
      <c r="S34" s="56"/>
      <c r="T34" s="56"/>
    </row>
    <row r="35" spans="1:20" ht="12.75">
      <c r="A35" s="59"/>
      <c r="B35" s="56"/>
      <c r="C35" s="57"/>
      <c r="D35" s="56"/>
      <c r="E35" s="59"/>
      <c r="F35" s="56"/>
      <c r="G35" s="57"/>
      <c r="H35" s="56"/>
      <c r="I35" s="59"/>
      <c r="J35" s="56"/>
      <c r="K35" s="57"/>
      <c r="L35" s="56"/>
      <c r="M35" s="59"/>
      <c r="N35" s="56"/>
      <c r="O35" s="57"/>
      <c r="P35" s="56"/>
      <c r="Q35" s="56"/>
      <c r="R35" s="56"/>
      <c r="S35" s="56"/>
      <c r="T35" s="56"/>
    </row>
    <row r="36" spans="1:20" ht="12.75">
      <c r="A36" s="56"/>
      <c r="B36" s="56"/>
      <c r="C36" s="57"/>
      <c r="D36" s="56"/>
      <c r="E36" s="56"/>
      <c r="F36" s="56"/>
      <c r="G36" s="57"/>
      <c r="H36" s="56"/>
      <c r="I36" s="56"/>
      <c r="J36" s="56"/>
      <c r="K36" s="57"/>
      <c r="L36" s="56"/>
      <c r="M36" s="56"/>
      <c r="N36" s="56"/>
      <c r="O36" s="57"/>
      <c r="P36" s="56"/>
      <c r="Q36" s="56"/>
      <c r="R36" s="56"/>
      <c r="S36" s="56"/>
      <c r="T36" s="56"/>
    </row>
    <row r="37" spans="1:20" ht="12.75">
      <c r="A37" s="56"/>
      <c r="B37" s="56"/>
      <c r="C37" s="57"/>
      <c r="D37" s="56"/>
      <c r="E37" s="56"/>
      <c r="F37" s="56"/>
      <c r="G37" s="57"/>
      <c r="H37" s="56"/>
      <c r="I37" s="56"/>
      <c r="J37" s="56"/>
      <c r="K37" s="57"/>
      <c r="L37" s="56"/>
      <c r="M37" s="56"/>
      <c r="N37" s="56"/>
      <c r="O37" s="57"/>
      <c r="P37" s="56"/>
      <c r="Q37" s="56"/>
      <c r="R37" s="56"/>
      <c r="S37" s="56"/>
      <c r="T37" s="56"/>
    </row>
    <row r="39" spans="1:13" ht="12.75">
      <c r="A39" s="48"/>
      <c r="E39" s="48"/>
      <c r="I39" s="48"/>
      <c r="M39" s="48"/>
    </row>
  </sheetData>
  <sheetProtection/>
  <printOptions/>
  <pageMargins left="0.75" right="0.75" top="1" bottom="1" header="0.5" footer="0.5"/>
  <pageSetup horizontalDpi="300" verticalDpi="300" orientation="portrait" r:id="rId2"/>
  <legacyDrawing r:id="rId1"/>
</worksheet>
</file>

<file path=xl/worksheets/sheet2.xml><?xml version="1.0" encoding="utf-8"?>
<worksheet xmlns="http://schemas.openxmlformats.org/spreadsheetml/2006/main" xmlns:r="http://schemas.openxmlformats.org/officeDocument/2006/relationships">
  <dimension ref="A1:G36"/>
  <sheetViews>
    <sheetView zoomScalePageLayoutView="0" workbookViewId="0" topLeftCell="A1">
      <selection activeCell="G34" sqref="G34"/>
    </sheetView>
  </sheetViews>
  <sheetFormatPr defaultColWidth="9.140625" defaultRowHeight="12.75"/>
  <cols>
    <col min="1" max="1" width="3.8515625" style="19" customWidth="1"/>
    <col min="2" max="2" width="20.00390625" style="15" customWidth="1"/>
    <col min="3" max="3" width="19.57421875" style="15" customWidth="1"/>
    <col min="4" max="4" width="23.7109375" style="16" customWidth="1"/>
    <col min="5" max="5" width="20.28125" style="16" customWidth="1"/>
    <col min="6" max="6" width="22.421875" style="16" customWidth="1"/>
    <col min="7" max="7" width="18.57421875" style="16" customWidth="1"/>
    <col min="8" max="8" width="20.140625" style="16" customWidth="1"/>
    <col min="9" max="16384" width="9.140625" style="16" customWidth="1"/>
  </cols>
  <sheetData>
    <row r="1" spans="1:3" s="13" customFormat="1" ht="11.25">
      <c r="A1" s="11" t="s">
        <v>14</v>
      </c>
      <c r="B1" s="12"/>
      <c r="C1" s="12"/>
    </row>
    <row r="2" ht="11.25">
      <c r="A2" s="14" t="s">
        <v>28</v>
      </c>
    </row>
    <row r="3" spans="1:7" s="17" customFormat="1" ht="11.25" customHeight="1" thickBot="1">
      <c r="A3" s="17" t="s">
        <v>3</v>
      </c>
      <c r="B3" s="18" t="s">
        <v>4</v>
      </c>
      <c r="C3" s="18" t="s">
        <v>5</v>
      </c>
      <c r="D3" s="18" t="s">
        <v>6</v>
      </c>
      <c r="E3" s="18" t="s">
        <v>7</v>
      </c>
      <c r="F3" s="18" t="s">
        <v>8</v>
      </c>
      <c r="G3" s="18" t="s">
        <v>9</v>
      </c>
    </row>
    <row r="4" spans="1:7" ht="11.25">
      <c r="A4" s="19">
        <v>0</v>
      </c>
      <c r="B4" s="20">
        <v>255</v>
      </c>
      <c r="C4" s="20"/>
      <c r="D4" s="20">
        <v>255</v>
      </c>
      <c r="E4" s="20"/>
      <c r="F4" s="20">
        <v>260</v>
      </c>
      <c r="G4" s="20"/>
    </row>
    <row r="5" spans="1:7" ht="11.25">
      <c r="A5" s="19">
        <v>43</v>
      </c>
      <c r="B5" s="20">
        <v>229.02</v>
      </c>
      <c r="C5" s="20">
        <v>261.83</v>
      </c>
      <c r="D5" s="20">
        <v>233.4</v>
      </c>
      <c r="E5" s="20">
        <v>264.4</v>
      </c>
      <c r="F5" s="20">
        <v>258.04</v>
      </c>
      <c r="G5" s="20">
        <v>296.53</v>
      </c>
    </row>
    <row r="6" spans="1:7" ht="11.25">
      <c r="A6" s="19">
        <v>58</v>
      </c>
      <c r="B6" s="20">
        <v>201.89</v>
      </c>
      <c r="C6" s="20">
        <v>230.92</v>
      </c>
      <c r="D6" s="20">
        <v>210.1</v>
      </c>
      <c r="E6" s="20">
        <v>242.9</v>
      </c>
      <c r="F6" s="20">
        <v>227.13</v>
      </c>
      <c r="G6" s="20">
        <v>270.03</v>
      </c>
    </row>
    <row r="7" spans="1:7" ht="11.25">
      <c r="A7" s="19">
        <v>73</v>
      </c>
      <c r="B7" s="20">
        <v>147</v>
      </c>
      <c r="C7" s="20">
        <v>182.97</v>
      </c>
      <c r="D7" s="20">
        <v>189.3</v>
      </c>
      <c r="E7" s="20">
        <v>220.8</v>
      </c>
      <c r="F7" s="20">
        <v>190.54</v>
      </c>
      <c r="G7" s="20">
        <v>239.75</v>
      </c>
    </row>
    <row r="11" ht="11.25">
      <c r="A11" s="14" t="s">
        <v>27</v>
      </c>
    </row>
    <row r="12" spans="1:7" s="17" customFormat="1" ht="11.25" customHeight="1" thickBot="1">
      <c r="A12" s="17" t="s">
        <v>3</v>
      </c>
      <c r="B12" s="18" t="s">
        <v>4</v>
      </c>
      <c r="C12" s="18" t="s">
        <v>10</v>
      </c>
      <c r="D12" s="18" t="s">
        <v>6</v>
      </c>
      <c r="E12" s="18" t="s">
        <v>10</v>
      </c>
      <c r="F12" s="18" t="s">
        <v>8</v>
      </c>
      <c r="G12" s="18" t="s">
        <v>10</v>
      </c>
    </row>
    <row r="13" spans="1:7" ht="11.25">
      <c r="A13" s="19">
        <v>0</v>
      </c>
      <c r="B13" s="20">
        <v>255</v>
      </c>
      <c r="C13" s="20"/>
      <c r="D13" s="20">
        <v>255</v>
      </c>
      <c r="E13" s="20"/>
      <c r="F13" s="20">
        <v>260</v>
      </c>
      <c r="G13" s="20"/>
    </row>
    <row r="14" spans="1:7" ht="11.25">
      <c r="A14" s="19">
        <v>43</v>
      </c>
      <c r="B14" s="20">
        <v>229.02</v>
      </c>
      <c r="C14" s="21">
        <f>(B14-B13)/B13</f>
        <v>-0.10188235294117642</v>
      </c>
      <c r="D14" s="20">
        <v>233.4</v>
      </c>
      <c r="E14" s="21">
        <f>(D14-D13)/D13</f>
        <v>-0.08470588235294116</v>
      </c>
      <c r="F14" s="20">
        <v>258.04</v>
      </c>
      <c r="G14" s="21">
        <f>(F14-F13)/F13</f>
        <v>-0.00753846153846146</v>
      </c>
    </row>
    <row r="15" spans="1:7" ht="11.25">
      <c r="A15" s="19">
        <v>58</v>
      </c>
      <c r="B15" s="20">
        <v>201.89</v>
      </c>
      <c r="C15" s="21">
        <f aca="true" t="shared" si="0" ref="C15:E16">(B15-B14)/B14</f>
        <v>-0.11846126975809983</v>
      </c>
      <c r="D15" s="20">
        <v>210.1</v>
      </c>
      <c r="E15" s="21">
        <f t="shared" si="0"/>
        <v>-0.09982862039417315</v>
      </c>
      <c r="F15" s="20">
        <v>227.13</v>
      </c>
      <c r="G15" s="21">
        <f>(F15-F14)/F14</f>
        <v>-0.11978762982483344</v>
      </c>
    </row>
    <row r="16" spans="1:7" ht="11.25">
      <c r="A16" s="19">
        <v>73</v>
      </c>
      <c r="B16" s="20">
        <v>147</v>
      </c>
      <c r="C16" s="21">
        <f t="shared" si="0"/>
        <v>-0.27188072712863437</v>
      </c>
      <c r="D16" s="20">
        <v>189.3</v>
      </c>
      <c r="E16" s="21">
        <f t="shared" si="0"/>
        <v>-0.09900047596382668</v>
      </c>
      <c r="F16" s="20">
        <v>190.54</v>
      </c>
      <c r="G16" s="21">
        <f>(F16-F15)/F15</f>
        <v>-0.16109716902214594</v>
      </c>
    </row>
    <row r="20" ht="11.25">
      <c r="A20" s="14" t="s">
        <v>26</v>
      </c>
    </row>
    <row r="21" spans="1:7" s="17" customFormat="1" ht="11.25" customHeight="1" thickBot="1">
      <c r="A21" s="17" t="s">
        <v>3</v>
      </c>
      <c r="B21" s="18" t="s">
        <v>11</v>
      </c>
      <c r="C21" s="18" t="s">
        <v>12</v>
      </c>
      <c r="E21" s="18"/>
      <c r="F21" s="18"/>
      <c r="G21" s="18"/>
    </row>
    <row r="22" spans="1:7" ht="11.25">
      <c r="A22" s="19">
        <v>0</v>
      </c>
      <c r="B22" s="20">
        <v>285</v>
      </c>
      <c r="C22" s="20"/>
      <c r="D22" s="20"/>
      <c r="E22" s="20"/>
      <c r="F22" s="20"/>
      <c r="G22" s="20"/>
    </row>
    <row r="23" spans="1:7" ht="11.25">
      <c r="A23" s="19">
        <v>43</v>
      </c>
      <c r="B23" s="22">
        <f>B22+(B22*C23)</f>
        <v>266.557963800905</v>
      </c>
      <c r="C23" s="21">
        <f>(C14+E14+G14)/3</f>
        <v>-0.06470889894419302</v>
      </c>
      <c r="D23" s="20"/>
      <c r="E23" s="21"/>
      <c r="F23" s="20"/>
      <c r="G23" s="21"/>
    </row>
    <row r="24" spans="1:7" ht="11.25">
      <c r="A24" s="19">
        <v>58</v>
      </c>
      <c r="B24" s="22">
        <f>B23+(B23*C24)</f>
        <v>236.51887869025256</v>
      </c>
      <c r="C24" s="21">
        <f>(C15+E15+G15)/3</f>
        <v>-0.11269250665903546</v>
      </c>
      <c r="D24" s="20"/>
      <c r="E24" s="21"/>
      <c r="F24" s="20"/>
      <c r="G24" s="21"/>
    </row>
    <row r="25" spans="1:7" ht="11.25">
      <c r="A25" s="19">
        <v>73</v>
      </c>
      <c r="B25" s="22">
        <f>B24+(B24*C25)</f>
        <v>194.5779026702483</v>
      </c>
      <c r="C25" s="21">
        <f>(C16+E16+G16)/3</f>
        <v>-0.17732612403820233</v>
      </c>
      <c r="D25" s="20"/>
      <c r="E25" s="21"/>
      <c r="F25" s="20"/>
      <c r="G25" s="21"/>
    </row>
    <row r="29" spans="1:3" s="25" customFormat="1" ht="11.25">
      <c r="A29" s="23"/>
      <c r="B29" s="24"/>
      <c r="C29" s="24"/>
    </row>
    <row r="30" spans="1:3" s="28" customFormat="1" ht="11.25">
      <c r="A30" s="26" t="s">
        <v>29</v>
      </c>
      <c r="B30" s="27"/>
      <c r="C30" s="27"/>
    </row>
    <row r="31" spans="1:6" s="17" customFormat="1" ht="26.25" customHeight="1" thickBot="1">
      <c r="A31" s="17" t="s">
        <v>3</v>
      </c>
      <c r="B31" s="18" t="s">
        <v>4</v>
      </c>
      <c r="C31" s="18" t="s">
        <v>6</v>
      </c>
      <c r="D31" s="18" t="s">
        <v>8</v>
      </c>
      <c r="E31" s="17" t="str">
        <f>B21</f>
        <v>Sard 285 LPH - 12.5V</v>
      </c>
      <c r="F31" s="18" t="s">
        <v>35</v>
      </c>
    </row>
    <row r="32" spans="1:6" s="28" customFormat="1" ht="11.25">
      <c r="A32" s="29">
        <v>0</v>
      </c>
      <c r="B32" s="30">
        <v>255</v>
      </c>
      <c r="C32" s="30">
        <v>255</v>
      </c>
      <c r="D32" s="30">
        <v>260</v>
      </c>
      <c r="E32" s="28">
        <f>B22</f>
        <v>285</v>
      </c>
      <c r="F32" s="28">
        <v>510</v>
      </c>
    </row>
    <row r="33" spans="1:6" s="28" customFormat="1" ht="11.25">
      <c r="A33" s="29">
        <v>43</v>
      </c>
      <c r="B33" s="30">
        <v>229.02</v>
      </c>
      <c r="C33" s="30">
        <v>233.4</v>
      </c>
      <c r="D33" s="30">
        <v>258.04</v>
      </c>
      <c r="E33" s="31">
        <f>B23</f>
        <v>266.557963800905</v>
      </c>
      <c r="F33" s="28">
        <f>98*LPHFactor</f>
        <v>370.9703567392146</v>
      </c>
    </row>
    <row r="34" spans="1:6" s="28" customFormat="1" ht="11.25">
      <c r="A34" s="29">
        <v>58</v>
      </c>
      <c r="B34" s="30">
        <v>201.89</v>
      </c>
      <c r="C34" s="30">
        <v>210.1</v>
      </c>
      <c r="D34" s="30">
        <v>227.13</v>
      </c>
      <c r="E34" s="31">
        <f>B24</f>
        <v>236.51887869025256</v>
      </c>
      <c r="F34" s="28">
        <f>82*LPHFactor</f>
        <v>310.4037678838326</v>
      </c>
    </row>
    <row r="35" spans="1:6" s="28" customFormat="1" ht="11.25">
      <c r="A35" s="29">
        <v>73</v>
      </c>
      <c r="B35" s="30">
        <v>147</v>
      </c>
      <c r="C35" s="30">
        <v>189.3</v>
      </c>
      <c r="D35" s="30">
        <v>190.54</v>
      </c>
      <c r="E35" s="31">
        <f>B25</f>
        <v>194.5779026702483</v>
      </c>
      <c r="F35" s="28">
        <f>58*LPHFactor</f>
        <v>219.55388460075966</v>
      </c>
    </row>
    <row r="36" spans="1:3" s="34" customFormat="1" ht="11.25">
      <c r="A36" s="32"/>
      <c r="B36" s="33"/>
      <c r="C36" s="33"/>
    </row>
  </sheetData>
  <sheetProtection/>
  <printOptions/>
  <pageMargins left="0.75" right="0.75" top="1" bottom="1" header="0.5" footer="0.5"/>
  <pageSetup horizontalDpi="300" verticalDpi="300" orientation="portrait" r:id="rId1"/>
</worksheet>
</file>

<file path=xl/worksheets/sheet3.xml><?xml version="1.0" encoding="utf-8"?>
<worksheet xmlns="http://schemas.openxmlformats.org/spreadsheetml/2006/main" xmlns:r="http://schemas.openxmlformats.org/officeDocument/2006/relationships">
  <dimension ref="A1:H20"/>
  <sheetViews>
    <sheetView zoomScalePageLayoutView="0" workbookViewId="0" topLeftCell="A1">
      <selection activeCell="C3" sqref="C3"/>
    </sheetView>
  </sheetViews>
  <sheetFormatPr defaultColWidth="9.140625" defaultRowHeight="12.75"/>
  <cols>
    <col min="1" max="1" width="31.7109375" style="42" customWidth="1"/>
    <col min="2" max="2" width="4.28125" style="40" customWidth="1"/>
    <col min="3" max="3" width="16.28125" style="40" customWidth="1"/>
    <col min="4" max="5" width="9.140625" style="41" customWidth="1"/>
    <col min="6" max="6" width="5.00390625" style="40" customWidth="1"/>
    <col min="7" max="7" width="8.00390625" style="40" customWidth="1"/>
    <col min="8" max="8" width="13.7109375" style="41" customWidth="1"/>
    <col min="9" max="9" width="12.8515625" style="41" customWidth="1"/>
    <col min="10" max="16384" width="9.140625" style="41" customWidth="1"/>
  </cols>
  <sheetData>
    <row r="1" spans="1:8" s="53" customFormat="1" ht="23.25" customHeight="1">
      <c r="A1" s="61" t="s">
        <v>34</v>
      </c>
      <c r="B1" s="61"/>
      <c r="C1" s="61"/>
      <c r="D1" s="61"/>
      <c r="E1" s="61"/>
      <c r="F1" s="61"/>
      <c r="G1" s="61"/>
      <c r="H1" s="53" t="s">
        <v>33</v>
      </c>
    </row>
    <row r="2" spans="1:8" s="9" customFormat="1" ht="12.75">
      <c r="A2" s="8" t="s">
        <v>22</v>
      </c>
      <c r="B2" s="35" t="s">
        <v>21</v>
      </c>
      <c r="C2" s="35" t="s">
        <v>30</v>
      </c>
      <c r="D2" s="9" t="s">
        <v>18</v>
      </c>
      <c r="E2" s="9" t="s">
        <v>18</v>
      </c>
      <c r="F2" s="35" t="s">
        <v>19</v>
      </c>
      <c r="G2" s="35" t="s">
        <v>20</v>
      </c>
      <c r="H2" s="9" t="s">
        <v>31</v>
      </c>
    </row>
    <row r="3" spans="1:8" ht="12.75">
      <c r="A3" s="39" t="s">
        <v>4</v>
      </c>
      <c r="B3" s="40">
        <v>3</v>
      </c>
      <c r="C3" s="40" t="str">
        <f>INDEX(PumpTypes,PumpTC1)</f>
        <v>Denso 260 LPH Supra Pump - 12.5V</v>
      </c>
      <c r="D3" s="41" t="str">
        <f aca="true" t="shared" si="0" ref="D3:D9">CONCATENATE(E3," A/F")</f>
        <v>10 A/F</v>
      </c>
      <c r="E3" s="41">
        <v>10</v>
      </c>
      <c r="F3" s="40">
        <v>7</v>
      </c>
      <c r="G3" s="40">
        <f>INDEX(AFNumbers,AFC1)</f>
        <v>11.5</v>
      </c>
      <c r="H3" s="41">
        <f>1000/60</f>
        <v>16.666666666666668</v>
      </c>
    </row>
    <row r="4" spans="1:8" ht="12.75">
      <c r="A4" s="39" t="s">
        <v>6</v>
      </c>
      <c r="B4" s="40">
        <v>1</v>
      </c>
      <c r="C4" s="40" t="str">
        <f>INDEX(PumpTypes,PumpTC2)</f>
        <v>Walbro 255 LPH - 12.5V</v>
      </c>
      <c r="D4" s="41" t="str">
        <f t="shared" si="0"/>
        <v>10.25 A/F</v>
      </c>
      <c r="E4" s="41">
        <v>10.25</v>
      </c>
      <c r="F4" s="40">
        <v>3</v>
      </c>
      <c r="G4" s="40">
        <f>INDEX(AFNumbers,AFC2)</f>
        <v>10.5</v>
      </c>
      <c r="H4" s="9" t="s">
        <v>32</v>
      </c>
    </row>
    <row r="5" spans="1:8" ht="12.75" customHeight="1">
      <c r="A5" s="39" t="s">
        <v>8</v>
      </c>
      <c r="B5" s="40">
        <v>5</v>
      </c>
      <c r="C5" s="40" t="str">
        <f>INDEX(PumpTypes,PumpTC3)</f>
        <v>Dual Walbro 255 LPH - 12.5V</v>
      </c>
      <c r="D5" s="41" t="str">
        <f t="shared" si="0"/>
        <v>10.5 A/F</v>
      </c>
      <c r="E5" s="41">
        <v>10.5</v>
      </c>
      <c r="F5" s="40">
        <v>3</v>
      </c>
      <c r="G5" s="40">
        <f>INDEX(AFNumbers,AFC3)</f>
        <v>10.5</v>
      </c>
      <c r="H5" s="41">
        <f>1/0.264172051</f>
        <v>3.7854118034613733</v>
      </c>
    </row>
    <row r="6" spans="1:5" ht="12.75" customHeight="1">
      <c r="A6" s="39" t="s">
        <v>11</v>
      </c>
      <c r="D6" s="41" t="str">
        <f t="shared" si="0"/>
        <v>10.75 A/F</v>
      </c>
      <c r="E6" s="41">
        <v>10.75</v>
      </c>
    </row>
    <row r="7" spans="1:5" ht="12.75" customHeight="1">
      <c r="A7" s="42" t="s">
        <v>35</v>
      </c>
      <c r="D7" s="41" t="str">
        <f t="shared" si="0"/>
        <v>11 A/F</v>
      </c>
      <c r="E7" s="41">
        <v>11</v>
      </c>
    </row>
    <row r="8" spans="4:5" ht="12.75" customHeight="1">
      <c r="D8" s="41" t="str">
        <f t="shared" si="0"/>
        <v>11.25 A/F</v>
      </c>
      <c r="E8" s="41">
        <v>11.25</v>
      </c>
    </row>
    <row r="9" spans="4:5" ht="12.75">
      <c r="D9" s="41" t="str">
        <f t="shared" si="0"/>
        <v>11.5 A/F</v>
      </c>
      <c r="E9" s="41">
        <v>11.5</v>
      </c>
    </row>
    <row r="10" ht="12.75">
      <c r="A10" s="39"/>
    </row>
    <row r="11" ht="12.75">
      <c r="A11" s="39"/>
    </row>
    <row r="12" ht="12.75">
      <c r="A12" s="39"/>
    </row>
    <row r="13" ht="12.75">
      <c r="A13" s="39"/>
    </row>
    <row r="17" ht="12.75">
      <c r="A17" s="39"/>
    </row>
    <row r="18" ht="12.75">
      <c r="A18" s="39"/>
    </row>
    <row r="19" ht="12.75">
      <c r="A19" s="39"/>
    </row>
    <row r="20" ht="12.75">
      <c r="A20" s="39"/>
    </row>
  </sheetData>
  <sheetProtection/>
  <mergeCells count="1">
    <mergeCell ref="A1:G1"/>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C8"/>
  <sheetViews>
    <sheetView zoomScalePageLayoutView="0" workbookViewId="0" topLeftCell="A1">
      <selection activeCell="D6" sqref="D6"/>
    </sheetView>
  </sheetViews>
  <sheetFormatPr defaultColWidth="9.140625" defaultRowHeight="12.75"/>
  <cols>
    <col min="1" max="1" width="9.140625" style="36" customWidth="1"/>
    <col min="2" max="2" width="11.7109375" style="36" customWidth="1"/>
    <col min="3" max="16384" width="9.140625" style="36" customWidth="1"/>
  </cols>
  <sheetData>
    <row r="1" s="1" customFormat="1" ht="12.75">
      <c r="A1" s="1" t="s">
        <v>23</v>
      </c>
    </row>
    <row r="3" ht="12.75">
      <c r="A3" s="36" t="s">
        <v>24</v>
      </c>
    </row>
    <row r="5" ht="12.75">
      <c r="A5" s="36" t="s">
        <v>25</v>
      </c>
    </row>
    <row r="7" spans="1:3" s="37" customFormat="1" ht="12.75">
      <c r="A7" s="37" t="s">
        <v>36</v>
      </c>
      <c r="B7" s="54" t="s">
        <v>38</v>
      </c>
      <c r="C7" s="37" t="s">
        <v>37</v>
      </c>
    </row>
    <row r="8" spans="1:3" s="37" customFormat="1" ht="12.75">
      <c r="A8" s="38">
        <v>1</v>
      </c>
      <c r="C8" s="38">
        <v>0.264172051</v>
      </c>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Chris Peterson</dc:creator>
  <cp:keywords/>
  <dc:description/>
  <cp:lastModifiedBy>Stuart Hagen</cp:lastModifiedBy>
  <dcterms:created xsi:type="dcterms:W3CDTF">2006-04-13T14:09:22Z</dcterms:created>
  <dcterms:modified xsi:type="dcterms:W3CDTF">2008-06-29T07:25:47Z</dcterms:modified>
  <cp:category/>
  <cp:version/>
  <cp:contentType/>
  <cp:contentStatus/>
</cp:coreProperties>
</file>